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jasz7\Downloads\"/>
    </mc:Choice>
  </mc:AlternateContent>
  <xr:revisionPtr revIDLastSave="0" documentId="13_ncr:1_{4622783A-ADEF-4CA9-B1F8-C057A1B0E34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Bear hunt formation" sheetId="1" r:id="rId1"/>
    <sheet name="Viking Vengeance" sheetId="2" r:id="rId2"/>
  </sheets>
  <definedNames>
    <definedName name="Archer" localSheetId="1">'Viking Vengeance'!$B$4</definedName>
    <definedName name="Archer">'Bear hunt formation'!$B$4</definedName>
    <definedName name="Cavarly" localSheetId="1">'Viking Vengeance'!$B$3</definedName>
    <definedName name="Cavarly">'Bear hunt formation'!$B$3</definedName>
    <definedName name="Infantry" localSheetId="1">'Viking Vengeance'!$B$2</definedName>
    <definedName name="Infantry">'Bear hunt formation'!$B$2</definedName>
    <definedName name="MarchCapacity" localSheetId="1">#REF!</definedName>
    <definedName name="MarchCapacity">'Bear hunt formation'!$C$11</definedName>
    <definedName name="MarchCount" localSheetId="1">'Viking Vengeance'!$C$7</definedName>
    <definedName name="MarchCount">'Bear hunt formation'!$C$8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2" i="1"/>
  <c r="E3" i="2"/>
  <c r="E2" i="2"/>
  <c r="C1" i="2"/>
  <c r="B4" i="2"/>
  <c r="B3" i="2"/>
  <c r="B2" i="2"/>
  <c r="C2" i="2" s="1"/>
  <c r="F2" i="2" s="1"/>
  <c r="F3" i="2" s="1"/>
  <c r="G1" i="1"/>
  <c r="H5" i="2"/>
  <c r="B5" i="2"/>
  <c r="C4" i="2"/>
  <c r="C3" i="2"/>
  <c r="B16" i="1"/>
  <c r="C11" i="1"/>
  <c r="B5" i="1"/>
  <c r="D4" i="1"/>
  <c r="C4" i="1"/>
  <c r="C5" i="1" s="1"/>
  <c r="F3" i="1"/>
  <c r="G3" i="1" s="1"/>
  <c r="D3" i="1"/>
  <c r="D5" i="1" s="1"/>
  <c r="D2" i="1"/>
  <c r="C2" i="1"/>
  <c r="B15" i="1" s="1"/>
  <c r="F4" i="1" l="1"/>
  <c r="G4" i="1" s="1"/>
  <c r="F2" i="1"/>
  <c r="G2" i="1" s="1"/>
  <c r="B14" i="2"/>
  <c r="J3" i="2"/>
  <c r="B17" i="1"/>
  <c r="I4" i="1"/>
  <c r="F4" i="2"/>
  <c r="J2" i="2"/>
  <c r="B13" i="2"/>
  <c r="G2" i="2" l="1"/>
  <c r="G3" i="2"/>
  <c r="B15" i="2"/>
  <c r="J4" i="2"/>
  <c r="G4" i="2" s="1"/>
  <c r="C13" i="2"/>
  <c r="C17" i="1"/>
  <c r="D17" i="1" s="1"/>
  <c r="F5" i="2"/>
  <c r="B18" i="1"/>
  <c r="C14" i="2"/>
  <c r="I3" i="1"/>
  <c r="I2" i="1" s="1"/>
  <c r="C15" i="1" l="1"/>
  <c r="I5" i="1"/>
  <c r="J4" i="1" s="1"/>
  <c r="E17" i="1"/>
  <c r="C15" i="2"/>
  <c r="C16" i="2" s="1"/>
  <c r="B16" i="2"/>
  <c r="D13" i="2"/>
  <c r="C16" i="1"/>
  <c r="D14" i="2"/>
  <c r="E14" i="2" s="1"/>
  <c r="J3" i="1" l="1"/>
  <c r="F14" i="2"/>
  <c r="G14" i="2"/>
  <c r="H14" i="2" s="1"/>
  <c r="E13" i="2"/>
  <c r="D16" i="1"/>
  <c r="E16" i="1" s="1"/>
  <c r="F17" i="1"/>
  <c r="G17" i="1" s="1"/>
  <c r="C18" i="1"/>
  <c r="D15" i="1"/>
  <c r="D18" i="1" s="1"/>
  <c r="J2" i="1"/>
  <c r="D15" i="2"/>
  <c r="D16" i="2" s="1"/>
  <c r="E15" i="1" l="1"/>
  <c r="E18" i="1" s="1"/>
  <c r="F16" i="1"/>
  <c r="G16" i="1" s="1"/>
  <c r="H16" i="1" s="1"/>
  <c r="F13" i="2"/>
  <c r="H17" i="1"/>
  <c r="I17" i="1" s="1"/>
  <c r="E15" i="2"/>
  <c r="F15" i="2" s="1"/>
  <c r="F15" i="1" l="1"/>
  <c r="G15" i="1" s="1"/>
  <c r="G18" i="1" s="1"/>
  <c r="F16" i="2"/>
  <c r="E16" i="2"/>
  <c r="I16" i="1"/>
  <c r="G13" i="2"/>
  <c r="H13" i="2"/>
  <c r="G15" i="2"/>
  <c r="H15" i="2" s="1"/>
  <c r="F18" i="1"/>
  <c r="H15" i="1"/>
  <c r="H18" i="1" s="1"/>
  <c r="I15" i="1" l="1"/>
  <c r="G16" i="2"/>
</calcChain>
</file>

<file path=xl/sharedStrings.xml><?xml version="1.0" encoding="utf-8"?>
<sst xmlns="http://schemas.openxmlformats.org/spreadsheetml/2006/main" count="62" uniqueCount="34">
  <si>
    <t>Your troops</t>
  </si>
  <si>
    <t>Own rally</t>
  </si>
  <si>
    <t>Recommended</t>
  </si>
  <si>
    <t>For joining</t>
  </si>
  <si>
    <t>Formation</t>
  </si>
  <si>
    <t>Troops ratio</t>
  </si>
  <si>
    <t>Infantry</t>
  </si>
  <si>
    <t>Cavalry</t>
  </si>
  <si>
    <t>Archer</t>
  </si>
  <si>
    <t>Total</t>
  </si>
  <si>
    <t>0 if you don't start a rally</t>
  </si>
  <si>
    <t>Showing 1/1/8 formation</t>
  </si>
  <si>
    <t>Your marches count?</t>
  </si>
  <si>
    <t>Legend</t>
  </si>
  <si>
    <t>User Input</t>
  </si>
  <si>
    <t>Capacity of your march?</t>
  </si>
  <si>
    <t>Results</t>
  </si>
  <si>
    <t>Amount of a march? (If restricted)</t>
  </si>
  <si>
    <t>0 if no restriction</t>
  </si>
  <si>
    <t>Calc Process</t>
  </si>
  <si>
    <t>Troops Type</t>
  </si>
  <si>
    <t>Your rally</t>
  </si>
  <si>
    <t>1</t>
  </si>
  <si>
    <t>2</t>
  </si>
  <si>
    <t>3</t>
  </si>
  <si>
    <t>4</t>
  </si>
  <si>
    <t>5</t>
  </si>
  <si>
    <t>6</t>
  </si>
  <si>
    <t>Cavarly</t>
  </si>
  <si>
    <t>Priority</t>
  </si>
  <si>
    <t>Troops in your city</t>
  </si>
  <si>
    <t>High</t>
  </si>
  <si>
    <t>Medium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</si>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</sst>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.0"/>
    <numFmt numFmtId="177" formatCode="&quot;March&quot;\ @"/>
    <numFmt numFmtId="178" formatCode="#,##0.0_ "/>
  </numFmts>
  <fonts count="14" x14ac:knownFonts="1">
    <font>
      <sz val="10"/>
      <color rgb="FF000000"/>
      <name val="Aptos Narrow"/>
      <scheme val="minor"/>
    </font>
    <font>
      <sz val="11"/>
      <color rgb="FF000000"/>
      <name val="Arial"/>
    </font>
    <font>
      <b/>
      <sz val="11"/>
      <color rgb="FF000000"/>
      <name val="Arial"/>
    </font>
    <font>
      <sz val="11"/>
      <color theme="1"/>
      <name val="Arial"/>
    </font>
    <font>
      <sz val="11"/>
      <color rgb="FF3F3F76"/>
      <name val="Arial"/>
    </font>
    <font>
      <b/>
      <sz val="11"/>
      <color rgb="FF3F3F3F"/>
      <name val="Arial"/>
    </font>
    <font>
      <sz val="9"/>
      <color rgb="FF000000"/>
      <name val="Arial"/>
    </font>
    <font>
      <sz val="13"/>
      <color theme="1"/>
      <name val="Arial"/>
    </font>
    <font>
      <sz val="11"/>
      <color theme="1"/>
      <name val="Aptos Narrow"/>
      <scheme val="minor"/>
    </font>
    <font>
      <sz val="10"/>
      <name val="Aptos Narrow"/>
    </font>
    <font>
      <sz val="10"/>
      <color theme="1"/>
      <name val="Arial"/>
    </font>
    <font>
      <sz val="11"/>
      <color rgb="FFFFFFFF"/>
      <name val="Aptos Narrow"/>
      <scheme val="minor"/>
    </font>
    <font>
      <b/>
      <sz val="11"/>
      <color rgb="FF3F3F3F"/>
      <name val="メイリオ"/>
      <family val="3"/>
      <charset val="128"/>
    </font>
    <font>
      <sz val="6"/>
      <name val="Aptos Narrow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4A535C"/>
      </left>
      <right style="thin">
        <color rgb="FF4A535C"/>
      </right>
      <top style="thin">
        <color rgb="FF4A535C"/>
      </top>
      <bottom style="thin">
        <color rgb="FF4A535C"/>
      </bottom>
      <diagonal/>
    </border>
    <border>
      <left style="thin">
        <color rgb="FF4A535C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4A535C"/>
      </right>
      <top style="thin">
        <color rgb="FFD9D9D9"/>
      </top>
      <bottom style="thin">
        <color rgb="FFD9D9D9"/>
      </bottom>
      <diagonal/>
    </border>
    <border>
      <left style="thin">
        <color rgb="FF4A535C"/>
      </left>
      <right style="thin">
        <color rgb="FFD9D9D9"/>
      </right>
      <top style="thin">
        <color rgb="FFD9D9D9"/>
      </top>
      <bottom style="thin">
        <color rgb="FF4A535C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4A535C"/>
      </bottom>
      <diagonal/>
    </border>
    <border>
      <left style="thin">
        <color rgb="FFD9D9D9"/>
      </left>
      <right style="thin">
        <color rgb="FF4A535C"/>
      </right>
      <top style="thin">
        <color rgb="FFD9D9D9"/>
      </top>
      <bottom style="thin">
        <color rgb="FF4A535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3" fontId="4" fillId="2" borderId="1" xfId="0" applyNumberFormat="1" applyFon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right"/>
    </xf>
    <xf numFmtId="176" fontId="4" fillId="3" borderId="1" xfId="0" applyNumberFormat="1" applyFont="1" applyFill="1" applyBorder="1" applyAlignment="1">
      <alignment horizontal="right"/>
    </xf>
    <xf numFmtId="3" fontId="5" fillId="4" borderId="2" xfId="0" applyNumberFormat="1" applyFont="1" applyFill="1" applyBorder="1" applyAlignment="1">
      <alignment horizontal="right"/>
    </xf>
    <xf numFmtId="4" fontId="4" fillId="3" borderId="1" xfId="0" applyNumberFormat="1" applyFont="1" applyFill="1" applyBorder="1" applyAlignment="1">
      <alignment horizontal="right"/>
    </xf>
    <xf numFmtId="0" fontId="6" fillId="0" borderId="0" xfId="0" applyFont="1"/>
    <xf numFmtId="0" fontId="1" fillId="0" borderId="3" xfId="0" applyFont="1" applyBorder="1" applyAlignment="1">
      <alignment horizontal="left"/>
    </xf>
    <xf numFmtId="3" fontId="4" fillId="2" borderId="5" xfId="0" applyNumberFormat="1" applyFont="1" applyFill="1" applyBorder="1" applyAlignment="1">
      <alignment horizontal="left"/>
    </xf>
    <xf numFmtId="0" fontId="8" fillId="0" borderId="0" xfId="0" applyFont="1"/>
    <xf numFmtId="3" fontId="5" fillId="4" borderId="7" xfId="0" applyNumberFormat="1" applyFont="1" applyFill="1" applyBorder="1" applyAlignment="1">
      <alignment horizontal="left"/>
    </xf>
    <xf numFmtId="0" fontId="10" fillId="0" borderId="0" xfId="0" applyFont="1"/>
    <xf numFmtId="3" fontId="4" fillId="3" borderId="5" xfId="0" applyNumberFormat="1" applyFont="1" applyFill="1" applyBorder="1" applyAlignment="1">
      <alignment horizontal="left"/>
    </xf>
    <xf numFmtId="3" fontId="11" fillId="0" borderId="0" xfId="0" applyNumberFormat="1" applyFont="1"/>
    <xf numFmtId="0" fontId="3" fillId="0" borderId="9" xfId="0" applyFont="1" applyBorder="1" applyAlignment="1">
      <alignment horizontal="left" vertical="center"/>
    </xf>
    <xf numFmtId="177" fontId="3" fillId="0" borderId="9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3" fontId="8" fillId="0" borderId="11" xfId="0" applyNumberFormat="1" applyFont="1" applyBorder="1" applyAlignment="1">
      <alignment vertical="center"/>
    </xf>
    <xf numFmtId="3" fontId="8" fillId="0" borderId="12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3" fontId="8" fillId="0" borderId="14" xfId="0" applyNumberFormat="1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3" fontId="12" fillId="4" borderId="2" xfId="0" applyNumberFormat="1" applyFont="1" applyFill="1" applyBorder="1" applyAlignment="1">
      <alignment horizontal="right"/>
    </xf>
    <xf numFmtId="178" fontId="1" fillId="0" borderId="0" xfId="0" applyNumberFormat="1" applyFont="1"/>
    <xf numFmtId="0" fontId="1" fillId="0" borderId="0" xfId="0" applyFont="1" applyAlignment="1">
      <alignment horizontal="left"/>
    </xf>
    <xf numFmtId="0" fontId="0" fillId="0" borderId="0" xfId="0"/>
    <xf numFmtId="0" fontId="7" fillId="0" borderId="4" xfId="0" applyFont="1" applyBorder="1" applyAlignment="1">
      <alignment horizontal="center" vertical="center"/>
    </xf>
    <xf numFmtId="0" fontId="9" fillId="0" borderId="6" xfId="0" applyFont="1" applyBorder="1"/>
    <xf numFmtId="0" fontId="9" fillId="0" borderId="8" xfId="0" applyFont="1" applyBorder="1"/>
  </cellXfs>
  <cellStyles count="1">
    <cellStyle name="標準" xfId="0" builtinId="0"/>
  </cellStyles>
  <dxfs count="8">
    <dxf>
      <font>
        <i/>
        <color rgb="FF0B8043"/>
      </font>
      <fill>
        <patternFill patternType="none"/>
      </fill>
    </dxf>
    <dxf>
      <font>
        <i/>
        <color rgb="FF0B8043"/>
      </font>
      <fill>
        <patternFill patternType="none"/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626E7A"/>
          <bgColor rgb="FF626E7A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626E7A"/>
          <bgColor rgb="FF626E7A"/>
        </patternFill>
      </fill>
    </dxf>
  </dxfs>
  <tableStyles count="2">
    <tableStyle name="Bear hunt formation-style" pivot="0" count="3" xr9:uid="{00000000-0011-0000-FFFF-FFFF00000000}">
      <tableStyleElement type="headerRow" dxfId="7"/>
      <tableStyleElement type="firstRowStripe" dxfId="6"/>
      <tableStyleElement type="secondRowStripe" dxfId="5"/>
    </tableStyle>
    <tableStyle name="Viking Vengeance-style" pivot="0" count="3" xr9:uid="{00000000-0011-0000-FFFF-FFFF01000000}"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sult_for_bear_hunt" displayName="Result_for_bear_hunt" ref="A14:I18">
  <tableColumns count="9">
    <tableColumn id="1" xr3:uid="{00000000-0010-0000-0000-000001000000}" name="Troops Type"/>
    <tableColumn id="2" xr3:uid="{00000000-0010-0000-0000-000002000000}" name="Your rally"/>
    <tableColumn id="3" xr3:uid="{00000000-0010-0000-0000-000003000000}" name="1"/>
    <tableColumn id="4" xr3:uid="{00000000-0010-0000-0000-000004000000}" name="2"/>
    <tableColumn id="5" xr3:uid="{00000000-0010-0000-0000-000005000000}" name="3"/>
    <tableColumn id="6" xr3:uid="{00000000-0010-0000-0000-000006000000}" name="4"/>
    <tableColumn id="7" xr3:uid="{00000000-0010-0000-0000-000007000000}" name="5"/>
    <tableColumn id="8" xr3:uid="{00000000-0010-0000-0000-000008000000}" name="6"/>
    <tableColumn id="9" xr3:uid="{00000000-0010-0000-0000-000009000000}" name="Total"/>
  </tableColumns>
  <tableStyleInfo name="Bear hunt formation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esult_for_viking_vengeance" displayName="Result_for_viking_vengeance" ref="A12:H16">
  <tableColumns count="8">
    <tableColumn id="1" xr3:uid="{00000000-0010-0000-0100-000001000000}" name="Troops Type"/>
    <tableColumn id="2" xr3:uid="{00000000-0010-0000-0100-000002000000}" name="1"/>
    <tableColumn id="3" xr3:uid="{00000000-0010-0000-0100-000003000000}" name="2"/>
    <tableColumn id="4" xr3:uid="{00000000-0010-0000-0100-000004000000}" name="3"/>
    <tableColumn id="5" xr3:uid="{00000000-0010-0000-0100-000005000000}" name="4"/>
    <tableColumn id="6" xr3:uid="{00000000-0010-0000-0100-000006000000}" name="5"/>
    <tableColumn id="7" xr3:uid="{00000000-0010-0000-0100-000007000000}" name="6"/>
    <tableColumn id="8" xr3:uid="{00000000-0010-0000-0100-000008000000}" name="Total"/>
  </tableColumns>
  <tableStyleInfo name="Viking Vengeanc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C12" sqref="C12"/>
    </sheetView>
  </sheetViews>
  <sheetFormatPr defaultColWidth="14.42578125" defaultRowHeight="15.75" customHeight="1" x14ac:dyDescent="0.25"/>
  <cols>
    <col min="1" max="1" width="19" customWidth="1"/>
    <col min="2" max="2" width="18.7109375" customWidth="1"/>
    <col min="3" max="8" width="21.140625" customWidth="1"/>
    <col min="9" max="10" width="14.42578125" customWidth="1"/>
    <col min="11" max="26" width="8.7109375" customWidth="1"/>
  </cols>
  <sheetData>
    <row r="1" spans="1:26" ht="18.75" customHeight="1" x14ac:dyDescent="0.25">
      <c r="A1" s="1"/>
      <c r="B1" s="2" t="s">
        <v>0</v>
      </c>
      <c r="C1" s="2" t="s">
        <v>1</v>
      </c>
      <c r="D1" s="28" t="s">
        <v>2</v>
      </c>
      <c r="E1" s="29"/>
      <c r="F1" s="2" t="s">
        <v>3</v>
      </c>
      <c r="G1" s="2" t="str">
        <f>_xlfn.CONCAT("Divided by ",C8)</f>
        <v>Divided by 6</v>
      </c>
      <c r="H1" s="1"/>
      <c r="I1" s="3" t="s">
        <v>4</v>
      </c>
      <c r="J1" s="2" t="s">
        <v>5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.75" customHeight="1" x14ac:dyDescent="0.25">
      <c r="A2" s="2" t="s">
        <v>6</v>
      </c>
      <c r="B2" s="5">
        <f>299685</f>
        <v>299685</v>
      </c>
      <c r="C2" s="5">
        <f t="shared" ref="C2:D2" si="0">$C$9*0.1</f>
        <v>14401</v>
      </c>
      <c r="D2" s="6">
        <f t="shared" si="0"/>
        <v>14401</v>
      </c>
      <c r="E2" s="1"/>
      <c r="F2" s="6">
        <f t="shared" ref="F2:F4" si="1">B2-C2</f>
        <v>285284</v>
      </c>
      <c r="G2" s="7">
        <f t="shared" ref="G2:G4" si="2">F2/$C$8</f>
        <v>47547.333333333336</v>
      </c>
      <c r="H2" s="1"/>
      <c r="I2" s="8">
        <f>ROUNDUP(MIN(G2,C11-$I$4-$I$3),0)</f>
        <v>7000</v>
      </c>
      <c r="J2" s="9">
        <f t="shared" ref="J2:J4" si="3">I2/$I$5*10</f>
        <v>1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.75" customHeight="1" x14ac:dyDescent="0.25">
      <c r="A3" s="2" t="s">
        <v>7</v>
      </c>
      <c r="B3" s="5">
        <f>289241</f>
        <v>289241</v>
      </c>
      <c r="C3" s="5">
        <v>14401</v>
      </c>
      <c r="D3" s="6">
        <f>$C$9*0.1</f>
        <v>14401</v>
      </c>
      <c r="E3" s="1"/>
      <c r="F3" s="6">
        <f t="shared" si="1"/>
        <v>274840</v>
      </c>
      <c r="G3" s="7">
        <f t="shared" si="2"/>
        <v>45806.666666666664</v>
      </c>
      <c r="H3" s="1"/>
      <c r="I3" s="8">
        <f>ROUNDUP(MIN(G3, MAX((C11-$I$4)/2, C11*0.9-$I$4)),0)</f>
        <v>24042</v>
      </c>
      <c r="J3" s="9">
        <f t="shared" si="3"/>
        <v>3.4345714285714286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8.75" customHeight="1" x14ac:dyDescent="0.25">
      <c r="A4" s="2" t="s">
        <v>8</v>
      </c>
      <c r="B4" s="5">
        <v>348955</v>
      </c>
      <c r="C4" s="5">
        <f t="shared" ref="C4:D4" si="4">$C$9*0.8</f>
        <v>115208</v>
      </c>
      <c r="D4" s="6">
        <f t="shared" si="4"/>
        <v>115208</v>
      </c>
      <c r="E4" s="1"/>
      <c r="F4" s="6">
        <f t="shared" si="1"/>
        <v>233747</v>
      </c>
      <c r="G4" s="7">
        <f t="shared" si="2"/>
        <v>38957.833333333336</v>
      </c>
      <c r="H4" s="1"/>
      <c r="I4" s="8">
        <f>ROUNDUP(MIN(C11*0.8, G4),0)</f>
        <v>38958</v>
      </c>
      <c r="J4" s="9">
        <f t="shared" si="3"/>
        <v>5.5654285714285709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.75" customHeight="1" x14ac:dyDescent="0.25">
      <c r="A5" s="1" t="s">
        <v>9</v>
      </c>
      <c r="B5" s="6">
        <f t="shared" ref="B5:D5" si="5">SUM(B2:B4)</f>
        <v>937881</v>
      </c>
      <c r="C5" s="6">
        <f t="shared" si="5"/>
        <v>144010</v>
      </c>
      <c r="D5" s="6">
        <f t="shared" si="5"/>
        <v>144010</v>
      </c>
      <c r="E5" s="1"/>
      <c r="F5" s="1"/>
      <c r="G5" s="1"/>
      <c r="H5" s="1"/>
      <c r="I5" s="8">
        <f>SUM(I2:I4)</f>
        <v>70000</v>
      </c>
      <c r="J5" s="1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8.75" customHeight="1" x14ac:dyDescent="0.25">
      <c r="A6" s="4"/>
      <c r="B6" s="4"/>
      <c r="C6" s="10" t="s">
        <v>10</v>
      </c>
      <c r="D6" s="10" t="s">
        <v>11</v>
      </c>
      <c r="E6" s="1"/>
      <c r="F6" s="1"/>
      <c r="G6" s="1"/>
      <c r="H6" s="1"/>
      <c r="I6" s="1"/>
      <c r="J6" s="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.75" customHeight="1" x14ac:dyDescent="0.25">
      <c r="A7" s="4"/>
      <c r="B7" s="4"/>
      <c r="C7" s="4"/>
      <c r="D7" s="4"/>
      <c r="E7" s="1"/>
      <c r="F7" s="1"/>
      <c r="G7" s="1"/>
      <c r="H7" s="1"/>
      <c r="I7" s="1"/>
      <c r="J7" s="1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8.75" customHeight="1" x14ac:dyDescent="0.25">
      <c r="A8" s="11" t="s">
        <v>12</v>
      </c>
      <c r="B8" s="11"/>
      <c r="C8" s="5">
        <v>6</v>
      </c>
      <c r="D8" s="4"/>
      <c r="F8" s="30" t="s">
        <v>13</v>
      </c>
      <c r="G8" s="12" t="s">
        <v>14</v>
      </c>
      <c r="H8" s="13"/>
      <c r="I8" s="1"/>
      <c r="J8" s="1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8.75" customHeight="1" x14ac:dyDescent="0.25">
      <c r="A9" s="11" t="s">
        <v>15</v>
      </c>
      <c r="B9" s="11"/>
      <c r="C9" s="5">
        <v>144010</v>
      </c>
      <c r="D9" s="13"/>
      <c r="F9" s="31"/>
      <c r="G9" s="14" t="s">
        <v>16</v>
      </c>
      <c r="H9" s="13"/>
      <c r="I9" s="4"/>
      <c r="J9" s="13"/>
      <c r="K9" s="13"/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8.75" customHeight="1" x14ac:dyDescent="0.25">
      <c r="A10" s="11" t="s">
        <v>17</v>
      </c>
      <c r="B10" s="11"/>
      <c r="C10" s="5">
        <v>70000</v>
      </c>
      <c r="D10" s="15" t="s">
        <v>18</v>
      </c>
      <c r="F10" s="32"/>
      <c r="G10" s="16" t="s">
        <v>19</v>
      </c>
      <c r="H10" s="13"/>
      <c r="I10" s="1"/>
      <c r="J10" s="1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8.75" customHeight="1" x14ac:dyDescent="0.25">
      <c r="A11" s="13"/>
      <c r="B11" s="13"/>
      <c r="C11" s="17">
        <f>IF(OR(C10=0, C10=""), C9, C10)</f>
        <v>70000</v>
      </c>
      <c r="D11" s="13"/>
      <c r="E11" s="13"/>
      <c r="F11" s="13"/>
      <c r="G11" s="13"/>
      <c r="H11" s="13"/>
      <c r="I11" s="4"/>
      <c r="J11" s="13"/>
      <c r="K11" s="13"/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8.75" customHeight="1" x14ac:dyDescent="0.25">
      <c r="A12" s="13"/>
      <c r="B12" s="13"/>
      <c r="C12" s="13"/>
      <c r="D12" s="13"/>
      <c r="E12" s="13"/>
      <c r="F12" s="13"/>
      <c r="G12" s="13"/>
      <c r="H12" s="13"/>
      <c r="I12" s="4"/>
      <c r="J12" s="13"/>
      <c r="K12" s="13"/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.75" customHeight="1" x14ac:dyDescent="0.25"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8.75" customHeight="1" x14ac:dyDescent="0.25">
      <c r="A14" s="18" t="s">
        <v>20</v>
      </c>
      <c r="B14" s="18" t="s">
        <v>21</v>
      </c>
      <c r="C14" s="19" t="s">
        <v>22</v>
      </c>
      <c r="D14" s="19" t="s">
        <v>23</v>
      </c>
      <c r="E14" s="19" t="s">
        <v>24</v>
      </c>
      <c r="F14" s="19" t="s">
        <v>25</v>
      </c>
      <c r="G14" s="19" t="s">
        <v>26</v>
      </c>
      <c r="H14" s="19" t="s">
        <v>27</v>
      </c>
      <c r="I14" s="18" t="s">
        <v>9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8.75" customHeight="1" x14ac:dyDescent="0.25">
      <c r="A15" s="20" t="s">
        <v>6</v>
      </c>
      <c r="B15" s="21">
        <f t="shared" ref="B15:B17" si="6">C2</f>
        <v>14401</v>
      </c>
      <c r="C15" s="21">
        <f t="shared" ref="C15:C17" si="7">I2</f>
        <v>7000</v>
      </c>
      <c r="D15" s="21">
        <f t="shared" ref="D15:D17" si="8">MIN($I2, $B2-$B15-$C15)</f>
        <v>7000</v>
      </c>
      <c r="E15" s="21">
        <f t="shared" ref="E15:E17" si="9">MIN($I2, $B2-$B15-$C15-$D15)</f>
        <v>7000</v>
      </c>
      <c r="F15" s="21">
        <f t="shared" ref="F15:F17" si="10">MIN($I2, $B2-$B15-$C15-$D15-$E15)</f>
        <v>7000</v>
      </c>
      <c r="G15" s="21">
        <f t="shared" ref="G15:G17" si="11">MIN($I2, $B2-$B15-$C15-$D15-$E15-$F15)</f>
        <v>7000</v>
      </c>
      <c r="H15" s="21">
        <f t="shared" ref="H15:H17" si="12">MIN($I2, $B2-$B15-$C15-$D15-$E15-$F15-$G15)</f>
        <v>7000</v>
      </c>
      <c r="I15" s="22">
        <f t="shared" ref="I15:I17" si="13">SUM(B15:H15)</f>
        <v>56401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8.75" customHeight="1" x14ac:dyDescent="0.25">
      <c r="A16" s="20" t="s">
        <v>28</v>
      </c>
      <c r="B16" s="21">
        <f t="shared" si="6"/>
        <v>14401</v>
      </c>
      <c r="C16" s="21">
        <f t="shared" si="7"/>
        <v>24042</v>
      </c>
      <c r="D16" s="21">
        <f t="shared" si="8"/>
        <v>24042</v>
      </c>
      <c r="E16" s="21">
        <f t="shared" si="9"/>
        <v>24042</v>
      </c>
      <c r="F16" s="21">
        <f t="shared" si="10"/>
        <v>24042</v>
      </c>
      <c r="G16" s="21">
        <f t="shared" si="11"/>
        <v>24042</v>
      </c>
      <c r="H16" s="21">
        <f t="shared" si="12"/>
        <v>24042</v>
      </c>
      <c r="I16" s="22">
        <f t="shared" si="13"/>
        <v>158653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8.75" customHeight="1" x14ac:dyDescent="0.25">
      <c r="A17" s="20" t="s">
        <v>8</v>
      </c>
      <c r="B17" s="21">
        <f t="shared" si="6"/>
        <v>115208</v>
      </c>
      <c r="C17" s="21">
        <f t="shared" si="7"/>
        <v>38958</v>
      </c>
      <c r="D17" s="21">
        <f t="shared" si="8"/>
        <v>38958</v>
      </c>
      <c r="E17" s="21">
        <f t="shared" si="9"/>
        <v>38958</v>
      </c>
      <c r="F17" s="21">
        <f t="shared" si="10"/>
        <v>38958</v>
      </c>
      <c r="G17" s="21">
        <f t="shared" si="11"/>
        <v>38958</v>
      </c>
      <c r="H17" s="21">
        <f t="shared" si="12"/>
        <v>38957</v>
      </c>
      <c r="I17" s="22">
        <f t="shared" si="13"/>
        <v>348955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8.75" customHeight="1" x14ac:dyDescent="0.25">
      <c r="A18" s="23" t="s">
        <v>9</v>
      </c>
      <c r="B18" s="24">
        <f t="shared" ref="B18:H18" si="14">SUM(B15:B17)</f>
        <v>144010</v>
      </c>
      <c r="C18" s="24">
        <f t="shared" si="14"/>
        <v>70000</v>
      </c>
      <c r="D18" s="24">
        <f t="shared" si="14"/>
        <v>70000</v>
      </c>
      <c r="E18" s="24">
        <f t="shared" si="14"/>
        <v>70000</v>
      </c>
      <c r="F18" s="24">
        <f t="shared" si="14"/>
        <v>70000</v>
      </c>
      <c r="G18" s="24">
        <f t="shared" si="14"/>
        <v>70000</v>
      </c>
      <c r="H18" s="24">
        <f t="shared" si="14"/>
        <v>69999</v>
      </c>
      <c r="I18" s="25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8.75" customHeight="1" x14ac:dyDescent="0.25">
      <c r="A19" s="4"/>
      <c r="B19" s="4"/>
      <c r="C19" s="13"/>
      <c r="D19" s="1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8.75" customHeight="1" x14ac:dyDescent="0.25">
      <c r="A20" s="4"/>
      <c r="B20" s="4"/>
      <c r="C20" s="13"/>
      <c r="D20" s="1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8.75" customHeight="1" x14ac:dyDescent="0.25">
      <c r="A21" s="4"/>
      <c r="B21" s="4"/>
      <c r="C21" s="13"/>
      <c r="D21" s="1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8.75" customHeight="1" x14ac:dyDescent="0.25">
      <c r="A22" s="13"/>
      <c r="B22" s="13"/>
      <c r="C22" s="13"/>
      <c r="D22" s="13"/>
      <c r="E22" s="13"/>
      <c r="F22" s="13"/>
      <c r="G22" s="13"/>
      <c r="H22" s="1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8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8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8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8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8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8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8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8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8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8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8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8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8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8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8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8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8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8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8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8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8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8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8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8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8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8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8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8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8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8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8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8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8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8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8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8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8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8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8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8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8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8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8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8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8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8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8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8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8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8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8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8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8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8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8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8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8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8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8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8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8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8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8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8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8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8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8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8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8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8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8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8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8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8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8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8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8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8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8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8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8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8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8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8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8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8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8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8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8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8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8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8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8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8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8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8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8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8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8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8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8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8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8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8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8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8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8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8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8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8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8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8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8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8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8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8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8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8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8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8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8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8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8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8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8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8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8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8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8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8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8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8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8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8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8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8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8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8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8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8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8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8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8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8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8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8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8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8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8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8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8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8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8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8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8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8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8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8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8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8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8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8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8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8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8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8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8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8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8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8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8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8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8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8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8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8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8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8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8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8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8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8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8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8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8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8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8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8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8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8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8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8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8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8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8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8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8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8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8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8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8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8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8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8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8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8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8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8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8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8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8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8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8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8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8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8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8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8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8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8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8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8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8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8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8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8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8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8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8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8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8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8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8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8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8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8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8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8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8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8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8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8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8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8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8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8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8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8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8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8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8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8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8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8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8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8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8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8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8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8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8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8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8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8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8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8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8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8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8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8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8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8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8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8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8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8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8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8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8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8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8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8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8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8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8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8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8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8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8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8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8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8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8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8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8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8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8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8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8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8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8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8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8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8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8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8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8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8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8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8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8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8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8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8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8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8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8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8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8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8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8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8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8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8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8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8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8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8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8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8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8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8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8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8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8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8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8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8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8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8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8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8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8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8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8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8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8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8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8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8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8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8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8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8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8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8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8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8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8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8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8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8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8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8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8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8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8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8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8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8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8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8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8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8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8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8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8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8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8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8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8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8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8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8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8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8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8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8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8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8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8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8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8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8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8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8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8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8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8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8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8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8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8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8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8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8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8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8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8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8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8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8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8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8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8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8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8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8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8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8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8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8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8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8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8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8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8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8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8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8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8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8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8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8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8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8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8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8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8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8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8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8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8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8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8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8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8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8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8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8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8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8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8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8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8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8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8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8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8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8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8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8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8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8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8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8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8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8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8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8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8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8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8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8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8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8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8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8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8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8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8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8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8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8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8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8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8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8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8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8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8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8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8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8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8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8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8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8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8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8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8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8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8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8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8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8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8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8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8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8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8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8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8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8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8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8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8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8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8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8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8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8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8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8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8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8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8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8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8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8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8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8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8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8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8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8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8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8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8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8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8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8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8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8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8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8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8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8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8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8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8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8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8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8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8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8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8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8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8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8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8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8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8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8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8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8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8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8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8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8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8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8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8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8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8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8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8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8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8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8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8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8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8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8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8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8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8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8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8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8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8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8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8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8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8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8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8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8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8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8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8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8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8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8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8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8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8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8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8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8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8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8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8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8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8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8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8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8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8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8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8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8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8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8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8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8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8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8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8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8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8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8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8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8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8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8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8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8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8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8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8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8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8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8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8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8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8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8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8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8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8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8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8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8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8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8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8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8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8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8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8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8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8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8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8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8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8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8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8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8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8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8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8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8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8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8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8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8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8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8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8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8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8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8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8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8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8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8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8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8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8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8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8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8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8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8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8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8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8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8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8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8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8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8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8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8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8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8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8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8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8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8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8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8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8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8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8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8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8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8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8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8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8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8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8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8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8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8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8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8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8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8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8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8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8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8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8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8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8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8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8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8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8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8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8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8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8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8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8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8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8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8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8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8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8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8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8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8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8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8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8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8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8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8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8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8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8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8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8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8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8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8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8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8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8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8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8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8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8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8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8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8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8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8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8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8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8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8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8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8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8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8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8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8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8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8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8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8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8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8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8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8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8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8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8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8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8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8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8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8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8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8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8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8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8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8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8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8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8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8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8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8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8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8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8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8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8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8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8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8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8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8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8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8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8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8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8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8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8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8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8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8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8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8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8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8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8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8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8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8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8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8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8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8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8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8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8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8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8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8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8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8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8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8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8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8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8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8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8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8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8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8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8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8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8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8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8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8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8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8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8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8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8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8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8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8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8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8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8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8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8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8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8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8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8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8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8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8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8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8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8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8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8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8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8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8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8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8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8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8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8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8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8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8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8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8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8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8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8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8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8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8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8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8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8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8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8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8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8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8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8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8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8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8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8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8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8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8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8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8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8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8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8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8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8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8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8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8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8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8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8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8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8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8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8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8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8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8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8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8.7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8.7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8.75" customHeight="1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2">
    <mergeCell ref="D1:E1"/>
    <mergeCell ref="F8:F10"/>
  </mergeCells>
  <phoneticPr fontId="13"/>
  <conditionalFormatting sqref="C14:H14">
    <cfRule type="cellIs" dxfId="1" priority="1" operator="greaterThan">
      <formula>"C7"</formula>
    </cfRule>
  </conditionalFormatting>
  <dataValidations count="6">
    <dataValidation type="decimal" operator="greaterThanOrEqual" allowBlank="1" showDropDown="1" sqref="B2:C4 C9" xr:uid="{00000000-0002-0000-0000-000000000000}">
      <formula1>0</formula1>
    </dataValidation>
    <dataValidation type="decimal" allowBlank="1" showDropDown="1" sqref="C8" xr:uid="{00000000-0002-0000-0000-000001000000}">
      <formula1>1</formula1>
      <formula2>6</formula2>
    </dataValidation>
    <dataValidation type="decimal" operator="lessThanOrEqual" allowBlank="1" showDropDown="1" showErrorMessage="1" sqref="C5" xr:uid="{00000000-0002-0000-0000-000002000000}">
      <formula1>C9</formula1>
    </dataValidation>
    <dataValidation type="custom" allowBlank="1" showDropDown="1" sqref="B15:H18" xr:uid="{00000000-0002-0000-0000-000003000000}">
      <formula1>AND(ISNUMBER(B15),(NOT(OR(NOT(ISERROR(DATEVALUE(B15))), AND(ISNUMBER(B15), LEFT(CELL("format", B15))="D")))))</formula1>
    </dataValidation>
    <dataValidation allowBlank="1" showDropDown="1" sqref="A15:A18" xr:uid="{00000000-0002-0000-0000-000004000000}"/>
    <dataValidation type="decimal" operator="lessThanOrEqual" allowBlank="1" showDropDown="1" sqref="C10" xr:uid="{00000000-0002-0000-0000-000005000000}">
      <formula1>C9</formula1>
    </dataValidation>
  </dataValidations>
  <pageMargins left="0.7" right="0.7" top="0.75" bottom="0.75" header="0" footer="0"/>
  <pageSetup paperSize="9"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workbookViewId="0">
      <selection activeCell="B4" sqref="B4"/>
    </sheetView>
  </sheetViews>
  <sheetFormatPr defaultColWidth="14.42578125" defaultRowHeight="15.75" customHeight="1" x14ac:dyDescent="0.25"/>
  <cols>
    <col min="1" max="1" width="19" customWidth="1"/>
    <col min="2" max="2" width="18.7109375" customWidth="1"/>
    <col min="3" max="8" width="21.140625" customWidth="1"/>
    <col min="9" max="10" width="14.42578125" customWidth="1"/>
    <col min="11" max="26" width="8.7109375" customWidth="1"/>
  </cols>
  <sheetData>
    <row r="1" spans="1:26" ht="18.75" customHeight="1" x14ac:dyDescent="0.25">
      <c r="A1" s="1"/>
      <c r="B1" s="2" t="s">
        <v>0</v>
      </c>
      <c r="C1" s="2" t="str">
        <f>_xlfn.CONCAT("Divide by ", C7)</f>
        <v>Divide by 6</v>
      </c>
      <c r="D1" s="28" t="s">
        <v>29</v>
      </c>
      <c r="E1" s="29"/>
      <c r="F1" s="3" t="s">
        <v>4</v>
      </c>
      <c r="G1" s="3" t="s">
        <v>30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.75" customHeight="1" x14ac:dyDescent="0.45">
      <c r="A2" s="2" t="s">
        <v>6</v>
      </c>
      <c r="B2" s="5">
        <f>299384+29836</f>
        <v>329220</v>
      </c>
      <c r="C2" s="7">
        <f t="shared" ref="C2:C4" si="0">$B2/$C$7</f>
        <v>54870</v>
      </c>
      <c r="D2" s="6" t="s">
        <v>31</v>
      </c>
      <c r="E2" s="27">
        <f>F2-29836</f>
        <v>25034</v>
      </c>
      <c r="F2" s="8">
        <f>ROUNDUP($C2,0)</f>
        <v>54870</v>
      </c>
      <c r="G2" s="26">
        <f>IF(J2&lt;0, 0, J2)</f>
        <v>0</v>
      </c>
      <c r="J2" s="6">
        <f t="shared" ref="J2:J4" si="1">$B2-$F2*$C$7</f>
        <v>0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.75" customHeight="1" x14ac:dyDescent="0.45">
      <c r="A3" s="2" t="s">
        <v>7</v>
      </c>
      <c r="B3" s="5">
        <f>289184+21132</f>
        <v>310316</v>
      </c>
      <c r="C3" s="7">
        <f t="shared" si="0"/>
        <v>51719.333333333336</v>
      </c>
      <c r="D3" s="6" t="s">
        <v>32</v>
      </c>
      <c r="E3" s="27">
        <f>F3-21132</f>
        <v>30588</v>
      </c>
      <c r="F3" s="8">
        <f>ROUNDUP(MIN($C$8-$F2, $C3),0)</f>
        <v>51720</v>
      </c>
      <c r="G3" s="26">
        <f>IF(J2+J3&lt;0, 0, IF(J2&lt;0, J3+J2, J3))</f>
        <v>0</v>
      </c>
      <c r="J3" s="6">
        <f t="shared" si="1"/>
        <v>-4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8.75" customHeight="1" x14ac:dyDescent="0.45">
      <c r="A4" s="2" t="s">
        <v>8</v>
      </c>
      <c r="B4" s="5">
        <f>339751+29180</f>
        <v>368931</v>
      </c>
      <c r="C4" s="7">
        <f t="shared" si="0"/>
        <v>61488.5</v>
      </c>
      <c r="D4" s="6" t="s">
        <v>33</v>
      </c>
      <c r="E4" s="1"/>
      <c r="F4" s="8">
        <f>ROUNDUP(MIN($C$8-$F2-$F3, $C4),0)</f>
        <v>33420</v>
      </c>
      <c r="G4" s="26">
        <f>IF(J2+J3+J4&lt;0, 0, IF(J2+J3&lt;0, J4+J3+J2, J4))</f>
        <v>168407</v>
      </c>
      <c r="J4" s="6">
        <f t="shared" si="1"/>
        <v>168411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.75" customHeight="1" x14ac:dyDescent="0.25">
      <c r="A5" s="1" t="s">
        <v>9</v>
      </c>
      <c r="B5" s="6">
        <f>SUM(B2:B4)</f>
        <v>1008467</v>
      </c>
      <c r="C5" s="4"/>
      <c r="D5" s="4"/>
      <c r="E5" s="1"/>
      <c r="F5" s="8">
        <f>SUM(F2:F4)</f>
        <v>140010</v>
      </c>
      <c r="G5" s="1"/>
      <c r="H5" s="1">
        <f>IF($G5&lt;0, 0, $G5)</f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8.75" customHeight="1" x14ac:dyDescent="0.25">
      <c r="A6" s="4"/>
      <c r="B6" s="4"/>
      <c r="C6" s="10"/>
      <c r="D6" s="10"/>
      <c r="E6" s="1"/>
      <c r="F6" s="1"/>
      <c r="G6" s="1"/>
      <c r="H6" s="1"/>
      <c r="I6" s="1"/>
      <c r="J6" s="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.75" customHeight="1" x14ac:dyDescent="0.25">
      <c r="A7" s="11" t="s">
        <v>12</v>
      </c>
      <c r="B7" s="11"/>
      <c r="C7" s="5">
        <v>6</v>
      </c>
      <c r="D7" s="4"/>
      <c r="E7" s="30" t="s">
        <v>13</v>
      </c>
      <c r="F7" s="12" t="s">
        <v>14</v>
      </c>
      <c r="I7" s="1"/>
      <c r="J7" s="1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8.75" customHeight="1" x14ac:dyDescent="0.25">
      <c r="A8" s="11" t="s">
        <v>15</v>
      </c>
      <c r="B8" s="11"/>
      <c r="C8" s="5">
        <v>140010</v>
      </c>
      <c r="D8" s="13"/>
      <c r="E8" s="31"/>
      <c r="F8" s="14" t="s">
        <v>16</v>
      </c>
      <c r="I8" s="4"/>
      <c r="J8" s="13"/>
      <c r="K8" s="13"/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8.75" customHeight="1" x14ac:dyDescent="0.25">
      <c r="A9" s="13"/>
      <c r="B9" s="13"/>
      <c r="C9" s="17"/>
      <c r="D9" s="15"/>
      <c r="E9" s="32"/>
      <c r="F9" s="16" t="s">
        <v>19</v>
      </c>
      <c r="I9" s="1"/>
      <c r="J9" s="1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8.75" customHeight="1" x14ac:dyDescent="0.25">
      <c r="A10" s="13"/>
      <c r="B10" s="13"/>
      <c r="C10" s="13"/>
      <c r="D10" s="13"/>
      <c r="E10" s="13"/>
      <c r="F10" s="13"/>
      <c r="G10" s="13"/>
      <c r="H10" s="13"/>
      <c r="I10" s="4"/>
      <c r="J10" s="13"/>
      <c r="K10" s="13"/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8.75" customHeight="1" x14ac:dyDescent="0.25"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8.75" customHeight="1" x14ac:dyDescent="0.25">
      <c r="A12" s="18" t="s">
        <v>20</v>
      </c>
      <c r="B12" s="19" t="s">
        <v>22</v>
      </c>
      <c r="C12" s="19" t="s">
        <v>23</v>
      </c>
      <c r="D12" s="19" t="s">
        <v>24</v>
      </c>
      <c r="E12" s="19" t="s">
        <v>25</v>
      </c>
      <c r="F12" s="19" t="s">
        <v>26</v>
      </c>
      <c r="G12" s="19" t="s">
        <v>27</v>
      </c>
      <c r="H12" s="18" t="s">
        <v>9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6" ht="18.75" customHeight="1" x14ac:dyDescent="0.25">
      <c r="A13" s="20" t="s">
        <v>6</v>
      </c>
      <c r="B13" s="21">
        <f t="shared" ref="B13:B15" si="2">F2</f>
        <v>54870</v>
      </c>
      <c r="C13" s="21">
        <f t="shared" ref="C13:C15" si="3">MIN($F2, $B2-$B13)</f>
        <v>54870</v>
      </c>
      <c r="D13" s="21">
        <f t="shared" ref="D13:D15" si="4">MIN($F2, $B2-$B13-$C13)</f>
        <v>54870</v>
      </c>
      <c r="E13" s="21">
        <f t="shared" ref="E13:E15" si="5">MIN($F2, $B2-$B13-$C13-$D13)</f>
        <v>54870</v>
      </c>
      <c r="F13" s="21">
        <f t="shared" ref="F13:F15" si="6">MIN($F2, $B2-$B13-$C13-$D13-$E13)</f>
        <v>54870</v>
      </c>
      <c r="G13" s="21">
        <f>MIN($F2, $B2-$B13-$C13-$D13-$E13-$F13)</f>
        <v>54870</v>
      </c>
      <c r="H13" s="22">
        <f t="shared" ref="H13:H15" si="7">SUM(B13:G13)</f>
        <v>329220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6" ht="18.75" customHeight="1" x14ac:dyDescent="0.25">
      <c r="A14" s="20" t="s">
        <v>28</v>
      </c>
      <c r="B14" s="21">
        <f t="shared" si="2"/>
        <v>51720</v>
      </c>
      <c r="C14" s="21">
        <f t="shared" si="3"/>
        <v>51720</v>
      </c>
      <c r="D14" s="21">
        <f t="shared" si="4"/>
        <v>51720</v>
      </c>
      <c r="E14" s="21">
        <f t="shared" si="5"/>
        <v>51720</v>
      </c>
      <c r="F14" s="21">
        <f t="shared" si="6"/>
        <v>51720</v>
      </c>
      <c r="G14" s="21">
        <f>MIN(IF(AND($J$2&lt;0, J3&gt;0), $C$8-$G$13, $F3), $B3-$B14-$C14-$D14-$E14-$F14)</f>
        <v>51716</v>
      </c>
      <c r="H14" s="22">
        <f t="shared" si="7"/>
        <v>310316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6" ht="18.75" customHeight="1" x14ac:dyDescent="0.25">
      <c r="A15" s="20" t="s">
        <v>8</v>
      </c>
      <c r="B15" s="21">
        <f t="shared" si="2"/>
        <v>33420</v>
      </c>
      <c r="C15" s="21">
        <f t="shared" si="3"/>
        <v>33420</v>
      </c>
      <c r="D15" s="21">
        <f t="shared" si="4"/>
        <v>33420</v>
      </c>
      <c r="E15" s="21">
        <f t="shared" si="5"/>
        <v>33420</v>
      </c>
      <c r="F15" s="21">
        <f t="shared" si="6"/>
        <v>33420</v>
      </c>
      <c r="G15" s="21">
        <f>MIN(IF(AND($J$2&lt;0, J3&lt;0), $C$8-$G$13-$G$14, $F4), $B4-$B15-$C15-$D15-$E15-$F15)</f>
        <v>33420</v>
      </c>
      <c r="H15" s="22">
        <f t="shared" si="7"/>
        <v>200520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6" ht="18.75" customHeight="1" x14ac:dyDescent="0.25">
      <c r="A16" s="23" t="s">
        <v>9</v>
      </c>
      <c r="B16" s="24">
        <f t="shared" ref="B16:G16" si="8">SUM(B13:B15)</f>
        <v>140010</v>
      </c>
      <c r="C16" s="24">
        <f t="shared" si="8"/>
        <v>140010</v>
      </c>
      <c r="D16" s="24">
        <f t="shared" si="8"/>
        <v>140010</v>
      </c>
      <c r="E16" s="24">
        <f t="shared" si="8"/>
        <v>140010</v>
      </c>
      <c r="F16" s="24">
        <f t="shared" si="8"/>
        <v>140010</v>
      </c>
      <c r="G16" s="24">
        <f t="shared" si="8"/>
        <v>140006</v>
      </c>
      <c r="H16" s="25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6" ht="18.75" customHeight="1" x14ac:dyDescent="0.25">
      <c r="A17" s="4"/>
      <c r="B17" s="4"/>
      <c r="C17" s="13"/>
      <c r="D17" s="1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8.75" customHeight="1" x14ac:dyDescent="0.25">
      <c r="A18" s="4"/>
      <c r="B18" s="4"/>
      <c r="C18" s="13"/>
      <c r="D18" s="1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8.75" customHeight="1" x14ac:dyDescent="0.25">
      <c r="A19" s="4"/>
      <c r="B19" s="4"/>
      <c r="C19" s="13"/>
      <c r="D19" s="1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8.75" customHeight="1" x14ac:dyDescent="0.25">
      <c r="A20" s="13"/>
      <c r="B20" s="13"/>
      <c r="C20" s="13"/>
      <c r="D20" s="13"/>
      <c r="E20" s="13"/>
      <c r="F20" s="13"/>
      <c r="G20" s="13"/>
      <c r="H20" s="1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8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8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8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8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8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8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8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8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8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8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8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8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8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8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8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8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8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8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8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8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8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8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8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8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8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8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8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8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8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8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8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8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8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8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8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8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8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8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8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8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8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8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8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8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8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8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8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8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8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8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8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8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8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8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8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8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8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8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8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8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8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8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8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8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8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8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8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8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8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8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8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8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8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8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8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8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8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8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8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8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8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8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8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8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8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8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8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8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8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8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8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8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8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8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8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8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8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8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8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8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8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8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8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8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8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8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8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8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8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8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8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8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8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8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8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8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8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8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8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8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8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8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8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8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8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8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8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8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8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8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8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8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8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8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8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8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8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8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8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8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8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8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8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8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8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8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8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8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8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8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8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8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8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8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8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8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8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8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8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8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8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8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8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8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8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8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8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8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8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8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8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8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8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8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8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8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8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8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8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8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8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8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8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8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8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8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8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8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8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8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8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8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8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8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8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8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8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8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8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8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8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8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8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8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8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8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8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8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8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8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8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8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8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8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8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8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8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8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8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8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8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8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8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8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8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8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8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8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8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8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8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8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8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8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8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8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8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8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8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8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8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8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8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8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8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8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8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8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8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8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8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8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8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8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8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8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8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8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8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8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8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8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8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8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8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8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8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8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8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8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8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8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8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8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8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8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8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8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8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8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8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8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8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8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8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8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8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8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8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8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8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8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8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8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8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8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8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8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8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8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8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8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8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8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8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8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8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8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8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8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8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8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8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8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8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8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8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8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8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8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8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8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8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8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8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8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8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8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8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8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8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8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8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8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8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8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8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8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8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8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8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8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8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8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8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8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8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8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8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8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8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8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8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8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8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8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8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8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8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8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8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8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8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8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8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8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8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8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8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8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8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8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8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8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8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8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8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8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8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8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8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8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8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8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8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8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8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8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8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8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8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8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8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8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8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8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8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8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8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8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8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8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8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8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8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8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8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8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8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8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8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8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8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8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8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8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8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8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8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8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8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8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8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8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8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8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8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8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8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8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8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8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8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8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8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8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8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8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8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8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8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8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8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8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8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8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8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8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8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8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8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8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8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8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8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8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8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8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8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8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8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8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8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8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8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8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8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8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8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8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8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8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8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8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8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8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8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8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8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8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8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8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8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8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8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8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8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8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8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8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8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8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8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8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8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8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8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8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8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8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8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8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8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8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8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8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8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8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8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8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8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8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8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8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8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8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8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8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8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8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8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8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8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8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8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8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8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8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8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8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8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8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8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8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8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8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8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8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8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8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8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8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8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8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8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8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8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8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8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8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8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8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8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8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8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8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8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8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8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8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8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8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8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8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8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8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8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8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8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8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8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8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8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8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8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8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8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8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8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8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8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8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8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8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8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8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8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8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8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8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8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8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8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8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8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8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8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8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8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8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8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8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8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8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8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8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8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8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8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8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8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8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8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8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8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8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8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8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8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8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8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8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8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8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8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8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8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8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8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8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8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8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8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8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8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8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8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8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8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8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8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8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8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8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8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8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8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8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8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8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8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8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8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8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8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8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8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8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8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8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8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8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8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8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8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8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8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8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8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8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8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8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8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8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8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8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8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8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8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8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8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8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8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8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8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8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8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8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8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8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8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8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8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8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8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8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8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8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8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8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8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8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8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8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8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8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8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8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8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8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8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8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8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8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8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8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8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8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8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8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8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8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8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8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8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8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8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8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8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8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8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8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8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8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8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8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8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8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8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8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8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8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8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8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8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8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8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8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8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8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8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8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8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8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8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8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8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8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8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8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8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8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8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8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8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8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8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8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8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8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8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8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8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8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8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8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8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8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8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8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8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8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8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8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8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8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8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8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8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8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8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8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8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8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8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8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8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8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8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8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8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8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8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8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8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8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8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8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8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8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8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8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8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8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8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8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8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8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8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8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8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8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8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8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8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8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8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8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8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8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8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8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8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8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8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8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8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8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8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8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8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8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8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8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8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8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8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8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8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8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8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8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8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8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8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8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8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8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8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8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8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8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8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8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8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8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8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8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8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8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8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8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8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8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8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8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8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8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8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8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8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8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8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8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8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8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8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8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8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8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8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8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8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8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8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8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8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8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8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8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8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8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8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8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8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8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8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8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8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8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8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8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8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8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8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8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8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8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8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8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8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8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8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8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8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8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8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8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8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8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8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8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8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8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8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8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8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8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8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8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8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8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8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8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8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8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8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8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8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8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8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8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8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8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8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8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8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8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8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8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8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8.7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2">
    <mergeCell ref="D1:E1"/>
    <mergeCell ref="E7:E9"/>
  </mergeCells>
  <phoneticPr fontId="13"/>
  <conditionalFormatting sqref="B12:H12">
    <cfRule type="cellIs" dxfId="0" priority="1" operator="greaterThan">
      <formula>"C7"</formula>
    </cfRule>
  </conditionalFormatting>
  <dataValidations count="6">
    <dataValidation type="decimal" operator="greaterThanOrEqual" allowBlank="1" showDropDown="1" sqref="C8 B2:C4" xr:uid="{00000000-0002-0000-0100-000000000000}">
      <formula1>0</formula1>
    </dataValidation>
    <dataValidation type="decimal" allowBlank="1" showDropDown="1" sqref="C7" xr:uid="{00000000-0002-0000-0100-000001000000}">
      <formula1>1</formula1>
      <formula2>6</formula2>
    </dataValidation>
    <dataValidation type="decimal" operator="lessThanOrEqual" allowBlank="1" showDropDown="1" showErrorMessage="1" sqref="C5" xr:uid="{00000000-0002-0000-0100-000002000000}">
      <formula1>C8</formula1>
    </dataValidation>
    <dataValidation type="custom" allowBlank="1" showDropDown="1" sqref="B13:G16" xr:uid="{00000000-0002-0000-0100-000003000000}">
      <formula1>AND(ISNUMBER(B13),(NOT(OR(NOT(ISERROR(DATEVALUE(B13))), AND(ISNUMBER(B13), LEFT(CELL("format", B13))="D")))))</formula1>
    </dataValidation>
    <dataValidation allowBlank="1" showDropDown="1" sqref="A13:A16" xr:uid="{00000000-0002-0000-0100-000004000000}"/>
    <dataValidation type="decimal" operator="lessThanOrEqual" allowBlank="1" showDropDown="1" sqref="C9" xr:uid="{00000000-0002-0000-0100-000005000000}">
      <formula1>C8</formula1>
    </dataValidation>
  </dataValidations>
  <pageMargins left="0.7" right="0.7" top="0.75" bottom="0.75" header="0" footer="0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9</vt:i4>
      </vt:variant>
    </vt:vector>
  </HeadingPairs>
  <TitlesOfParts>
    <vt:vector size="11" baseType="lpstr">
      <vt:lpstr>Bear hunt formation</vt:lpstr>
      <vt:lpstr>Viking Vengeance</vt:lpstr>
      <vt:lpstr>'Viking Vengeance'!Archer</vt:lpstr>
      <vt:lpstr>Archer</vt:lpstr>
      <vt:lpstr>'Viking Vengeance'!Cavarly</vt:lpstr>
      <vt:lpstr>Cavarly</vt:lpstr>
      <vt:lpstr>'Viking Vengeance'!Infantry</vt:lpstr>
      <vt:lpstr>Infantry</vt:lpstr>
      <vt:lpstr>MarchCapacity</vt:lpstr>
      <vt:lpstr>'Viking Vengeance'!MarchCount</vt:lpstr>
      <vt:lpstr>MarchCount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Nnn? .</cp:lastModifiedBy>
  <dcterms:modified xsi:type="dcterms:W3CDTF">2025-10-26T15:33:20Z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504514-6e13-49d7-8203-001e97ae7662_Enabled">
    <vt:lpwstr>true</vt:lpwstr>
  </property>
  <property fmtid="{D5CDD505-2E9C-101B-9397-08002B2CF9AE}" pid="3" name="MSIP_Label_9f504514-6e13-49d7-8203-001e97ae7662_SetDate">
    <vt:lpwstr>2025-10-23T16:03:45Z</vt:lpwstr>
  </property>
  <property fmtid="{D5CDD505-2E9C-101B-9397-08002B2CF9AE}" pid="4" name="MSIP_Label_9f504514-6e13-49d7-8203-001e97ae7662_Method">
    <vt:lpwstr>Standard</vt:lpwstr>
  </property>
  <property fmtid="{D5CDD505-2E9C-101B-9397-08002B2CF9AE}" pid="5" name="MSIP_Label_9f504514-6e13-49d7-8203-001e97ae7662_Name">
    <vt:lpwstr>defa4170-0d19-0005-0004-bc88714345d2</vt:lpwstr>
  </property>
  <property fmtid="{D5CDD505-2E9C-101B-9397-08002B2CF9AE}" pid="6" name="MSIP_Label_9f504514-6e13-49d7-8203-001e97ae7662_SiteId">
    <vt:lpwstr>1a0fe579-7f10-4395-ac1e-6c52a1509b88</vt:lpwstr>
  </property>
  <property fmtid="{D5CDD505-2E9C-101B-9397-08002B2CF9AE}" pid="7" name="MSIP_Label_9f504514-6e13-49d7-8203-001e97ae7662_ActionId">
    <vt:lpwstr>df55d8eb-2aa8-4e3d-b7ce-bbc96a2ea960</vt:lpwstr>
  </property>
  <property fmtid="{D5CDD505-2E9C-101B-9397-08002B2CF9AE}" pid="8" name="MSIP_Label_9f504514-6e13-49d7-8203-001e97ae7662_ContentBits">
    <vt:lpwstr>0</vt:lpwstr>
  </property>
  <property fmtid="{D5CDD505-2E9C-101B-9397-08002B2CF9AE}" pid="9" name="MSIP_Label_9f504514-6e13-49d7-8203-001e97ae7662_Tag">
    <vt:lpwstr>10, 3, 0, 1</vt:lpwstr>
  </property>
</Properties>
</file>